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wagat Sahoo\Desktop\Publication\Forcasting writeup\Global heart\"/>
    </mc:Choice>
  </mc:AlternateContent>
  <xr:revisionPtr revIDLastSave="0" documentId="13_ncr:1_{1C060766-0FB4-47E8-8BC7-8836C6769944}" xr6:coauthVersionLast="46" xr6:coauthVersionMax="46" xr10:uidLastSave="{00000000-0000-0000-0000-000000000000}"/>
  <bookViews>
    <workbookView xWindow="-120" yWindow="-120" windowWidth="20730" windowHeight="11160" activeTab="2" xr2:uid="{00000000-000D-0000-FFFF-FFFF00000000}"/>
  </bookViews>
  <sheets>
    <sheet name="Overview" sheetId="3" r:id="rId1"/>
    <sheet name="Input" sheetId="1" r:id="rId2"/>
    <sheet name="Drug requiremen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 l="1"/>
  <c r="D21" i="1"/>
  <c r="D19" i="1"/>
  <c r="N9" i="5" l="1"/>
  <c r="N10" i="5"/>
  <c r="N11" i="5"/>
  <c r="N12" i="5"/>
  <c r="N13" i="5"/>
  <c r="N14" i="5"/>
  <c r="D3" i="5"/>
  <c r="O4" i="5" l="1"/>
  <c r="O3" i="5"/>
  <c r="K7" i="5"/>
  <c r="J7" i="5"/>
  <c r="H13" i="1"/>
  <c r="J24" i="5"/>
  <c r="H24" i="5"/>
  <c r="F24" i="5"/>
  <c r="O20" i="5"/>
  <c r="M20" i="5"/>
  <c r="O19" i="5"/>
  <c r="O18" i="5"/>
  <c r="M19" i="5"/>
  <c r="M18" i="5"/>
  <c r="I7" i="5" l="1"/>
  <c r="H7" i="5"/>
  <c r="G7" i="5"/>
  <c r="F7" i="5"/>
  <c r="J2" i="5" l="1"/>
  <c r="G21" i="5"/>
  <c r="H21" i="5"/>
  <c r="I21" i="5"/>
  <c r="J21" i="5"/>
  <c r="K21" i="5"/>
  <c r="F21" i="5"/>
  <c r="O14" i="5"/>
  <c r="O13" i="5"/>
  <c r="O12" i="5"/>
  <c r="O11" i="5"/>
  <c r="O10" i="5"/>
  <c r="O9" i="5"/>
  <c r="C8" i="1" l="1"/>
  <c r="F2" i="5" s="1"/>
  <c r="O2" i="5" s="1"/>
  <c r="C16" i="5" l="1"/>
  <c r="C13" i="5"/>
  <c r="C11" i="5"/>
  <c r="C17" i="5"/>
  <c r="C15" i="5"/>
  <c r="C8" i="5"/>
  <c r="D8" i="5" s="1"/>
  <c r="E8" i="5" s="1"/>
  <c r="C10" i="5"/>
  <c r="C12" i="5"/>
  <c r="C9" i="5"/>
  <c r="C14" i="5"/>
  <c r="C19" i="5"/>
  <c r="C18" i="5"/>
  <c r="C10" i="1"/>
  <c r="D9" i="5" l="1"/>
  <c r="D10" i="5" s="1"/>
  <c r="D11" i="5" s="1"/>
  <c r="D12" i="5" s="1"/>
  <c r="D13" i="5" s="1"/>
  <c r="D14" i="5" s="1"/>
  <c r="D15" i="5" s="1"/>
  <c r="D16" i="5" s="1"/>
  <c r="D17" i="5" s="1"/>
  <c r="D18" i="5" s="1"/>
  <c r="D19" i="5" s="1"/>
  <c r="E9" i="5"/>
  <c r="F9" i="5" s="1"/>
  <c r="G9" i="5"/>
  <c r="F8" i="5"/>
  <c r="I11" i="5"/>
  <c r="H10" i="5"/>
  <c r="J12" i="5"/>
  <c r="K13" i="5"/>
  <c r="J13" i="5" l="1"/>
  <c r="H11" i="5"/>
  <c r="G10" i="5"/>
  <c r="K14" i="5"/>
  <c r="I12" i="5"/>
  <c r="E10" i="5"/>
  <c r="F10" i="5" s="1"/>
  <c r="J14" i="5" l="1"/>
  <c r="G11" i="5"/>
  <c r="K15" i="5"/>
  <c r="I13" i="5"/>
  <c r="H12" i="5"/>
  <c r="E11" i="5"/>
  <c r="F11" i="5" s="1"/>
  <c r="J15" i="5" l="1"/>
  <c r="K16" i="5"/>
  <c r="H13" i="5"/>
  <c r="G12" i="5"/>
  <c r="E12" i="5"/>
  <c r="F12" i="5" s="1"/>
  <c r="I14" i="5"/>
  <c r="J16" i="5" l="1"/>
  <c r="I15" i="5"/>
  <c r="H14" i="5"/>
  <c r="K17" i="5"/>
  <c r="G13" i="5"/>
  <c r="E13" i="5"/>
  <c r="F13" i="5" s="1"/>
  <c r="J17" i="5" l="1"/>
  <c r="I16" i="5"/>
  <c r="E14" i="5"/>
  <c r="F14" i="5" s="1"/>
  <c r="H15" i="5"/>
  <c r="G14" i="5"/>
  <c r="K18" i="5"/>
  <c r="J18" i="5" l="1"/>
  <c r="I17" i="5"/>
  <c r="K19" i="5"/>
  <c r="K22" i="5" s="1"/>
  <c r="G15" i="5"/>
  <c r="H16" i="5"/>
  <c r="E15" i="5"/>
  <c r="F15" i="5" s="1"/>
  <c r="J19" i="5" l="1"/>
  <c r="J22" i="5" s="1"/>
  <c r="J25" i="5" s="1"/>
  <c r="I18" i="5"/>
  <c r="G16" i="5"/>
  <c r="E16" i="5"/>
  <c r="F16" i="5" s="1"/>
  <c r="H17" i="5"/>
  <c r="G17" i="5" l="1"/>
  <c r="H18" i="5"/>
  <c r="I19" i="5"/>
  <c r="I22" i="5" s="1"/>
  <c r="E17" i="5"/>
  <c r="F17" i="5" s="1"/>
  <c r="E18" i="5" l="1"/>
  <c r="F18" i="5" s="1"/>
  <c r="H19" i="5"/>
  <c r="H22" i="5" s="1"/>
  <c r="H25" i="5" s="1"/>
  <c r="G18" i="5"/>
  <c r="E19" i="5" l="1"/>
  <c r="F19" i="5" s="1"/>
  <c r="G19" i="5"/>
  <c r="G22" i="5" s="1"/>
  <c r="F22" i="5" l="1"/>
  <c r="F25" i="5" s="1"/>
  <c r="F26" i="5" l="1"/>
</calcChain>
</file>

<file path=xl/sharedStrings.xml><?xml version="1.0" encoding="utf-8"?>
<sst xmlns="http://schemas.openxmlformats.org/spreadsheetml/2006/main" count="106" uniqueCount="90">
  <si>
    <t>Total population</t>
  </si>
  <si>
    <t>% of adult population</t>
  </si>
  <si>
    <t>Total adult population</t>
  </si>
  <si>
    <t>Total hypertensives</t>
  </si>
  <si>
    <t>Inputs</t>
  </si>
  <si>
    <t>HTN prevalence among adults</t>
  </si>
  <si>
    <t>Particulars</t>
  </si>
  <si>
    <t>Figures</t>
  </si>
  <si>
    <t>Source</t>
  </si>
  <si>
    <t>Assumptions:</t>
  </si>
  <si>
    <t>Month</t>
  </si>
  <si>
    <t>Month 1</t>
  </si>
  <si>
    <t>Month 2</t>
  </si>
  <si>
    <t>Month 3</t>
  </si>
  <si>
    <t>Month 4</t>
  </si>
  <si>
    <t>Month 5</t>
  </si>
  <si>
    <t>Month 6</t>
  </si>
  <si>
    <t>Month 7</t>
  </si>
  <si>
    <t>Month 8</t>
  </si>
  <si>
    <t>Month 9</t>
  </si>
  <si>
    <t>Month 10</t>
  </si>
  <si>
    <t>Month 11</t>
  </si>
  <si>
    <t>Month 12</t>
  </si>
  <si>
    <t>Expected enrolment for the year</t>
  </si>
  <si>
    <t xml:space="preserve">Resolve to Save Lives Annual Medication Forecasting Tool </t>
  </si>
  <si>
    <t xml:space="preserve">About the tool: </t>
  </si>
  <si>
    <t>State, Province or Area</t>
  </si>
  <si>
    <t>City/District</t>
  </si>
  <si>
    <t xml:space="preserve">HTN prevalence in adults </t>
  </si>
  <si>
    <t>Existing patient load</t>
  </si>
  <si>
    <t>A</t>
  </si>
  <si>
    <t>B</t>
  </si>
  <si>
    <t>C</t>
  </si>
  <si>
    <t>D</t>
  </si>
  <si>
    <t>E</t>
  </si>
  <si>
    <t>F</t>
  </si>
  <si>
    <t>G</t>
  </si>
  <si>
    <t>Actual cumulative patient registration reducing the defaulters</t>
  </si>
  <si>
    <t>Drug</t>
  </si>
  <si>
    <t>Existing regular patients opting care*</t>
  </si>
  <si>
    <t>Expected enrolment for year of estimation</t>
  </si>
  <si>
    <t>Facility/District/State name:</t>
  </si>
  <si>
    <t>Approximate cost of drugs 
(In currency of country per tablet)</t>
  </si>
  <si>
    <t>Approximate Budget requirement in currency of the country</t>
  </si>
  <si>
    <t>H</t>
  </si>
  <si>
    <t>I</t>
  </si>
  <si>
    <t>J</t>
  </si>
  <si>
    <t>Treatment Protocol</t>
  </si>
  <si>
    <t>Step 1</t>
  </si>
  <si>
    <t>Step 2</t>
  </si>
  <si>
    <t>Step 3</t>
  </si>
  <si>
    <t>Step 4</t>
  </si>
  <si>
    <t>Step</t>
  </si>
  <si>
    <t>Total</t>
  </si>
  <si>
    <t>Census</t>
  </si>
  <si>
    <t>NFHS/DLHS/AHS</t>
  </si>
  <si>
    <t>Country</t>
  </si>
  <si>
    <r>
      <rPr>
        <b/>
        <sz val="11"/>
        <color theme="1"/>
        <rFont val="Calibri"/>
        <family val="2"/>
        <scheme val="minor"/>
      </rPr>
      <t xml:space="preserve">How to use the tool:
</t>
    </r>
    <r>
      <rPr>
        <sz val="11"/>
        <color theme="1"/>
        <rFont val="Calibri"/>
        <family val="2"/>
        <scheme val="minor"/>
      </rPr>
      <t>- Enter all data into yellow cells in input sheet
- Enter all data sources where available
- Expected % of  registration for the year can be modified based on anticipated rate of program growth. Actual registration can also be entered in column 'B" of the tool against the specific month (in the output sheet).
- Assumed % of patients to be controlled at each step of the treatment protocol is as per current experience and can be modified with country specific experience.
- Click on each column heading for more detailed information .</t>
    </r>
  </si>
  <si>
    <t>OVERVIEW</t>
  </si>
  <si>
    <t xml:space="preserve"> Requirement for the year</t>
  </si>
  <si>
    <r>
      <rPr>
        <b/>
        <sz val="11"/>
        <color theme="1"/>
        <rFont val="Calibri"/>
        <family val="2"/>
        <scheme val="minor"/>
      </rPr>
      <t xml:space="preserve">Objective: </t>
    </r>
    <r>
      <rPr>
        <sz val="11"/>
        <color theme="1"/>
        <rFont val="Calibri"/>
        <family val="2"/>
        <scheme val="minor"/>
      </rPr>
      <t xml:space="preserve"> This tool is available to assist country programs with estimating antihypertensive medication requirements for new hypertension control programs. It is based on the best available assumptions, but should be adapted to local contexts. </t>
    </r>
  </si>
  <si>
    <t>Expected % loss to follow up over the year</t>
  </si>
  <si>
    <t>Expected loss to follow up each month</t>
  </si>
  <si>
    <t>Amlodipine 5 mg</t>
  </si>
  <si>
    <t>Step 5</t>
  </si>
  <si>
    <t>Note: List the drugs in exact sequence as they appear in the protocol</t>
  </si>
  <si>
    <t>Data to be entered</t>
  </si>
  <si>
    <t>Data generated automatically</t>
  </si>
  <si>
    <t>Number of patients getting enrolled each month as per actual, can be updated in respective cells in column 'B' for mid term review of projected requirement</t>
  </si>
  <si>
    <t>* For first year "Existing regular patients opting care" can be zero unless clear data available. 
For calculation of next year onwards total registered patient till end of the preceding year can be taken as "existing regular patients".</t>
  </si>
  <si>
    <t>Drug**</t>
  </si>
  <si>
    <t>Control assumption**</t>
  </si>
  <si>
    <t>Step 6</t>
  </si>
  <si>
    <t>Treatment protocol step</t>
  </si>
  <si>
    <t>Total % of patients at the protocol step</t>
  </si>
  <si>
    <t xml:space="preserve">Additional % of patients </t>
  </si>
  <si>
    <r>
      <t xml:space="preserve">Requirement in Base doses: </t>
    </r>
    <r>
      <rPr>
        <sz val="10"/>
        <color theme="1"/>
        <rFont val="Calibri"/>
        <family val="2"/>
        <scheme val="minor"/>
      </rPr>
      <t>Alter the formulas in "row 24" to sum up the drug requirement  in the base strength indicated</t>
    </r>
  </si>
  <si>
    <t>Number of Actual or Expected new enrolments</t>
  </si>
  <si>
    <t>Outputs</t>
  </si>
  <si>
    <t>Estimated requirement of anti-hypertensive drugs</t>
  </si>
  <si>
    <t>Estimated total hypertensive adults</t>
  </si>
  <si>
    <t>Patient load assumption as per hypertension treatment protocol steps</t>
  </si>
  <si>
    <t>Expected Cumulative patient load</t>
  </si>
  <si>
    <t xml:space="preserve">Periodic requirement can be calculated by adding up the individual month's requirement. </t>
  </si>
  <si>
    <t>**Each step is in addition to all previous steps combined</t>
  </si>
  <si>
    <t>Under a new hypertension control program, the recommended hypertension treatment protocol may differ from previous drug prescription patterns. In addition, with increasing registrations of patients (both through possible population-based screening and opportunistic screening) and strategies to ensure their return to care, it is expected that there would be a steady increase in the use of the protocol drugs.
Therefore, the widely used consumption-based method is not suitable for drug forecasting and a morbidity-based method should be used. When the program reaches saturation of patient registration and uninterrupted availability of the drugs has been ensured for 4-5 years, then the consumption-based method may be used for future forecasting.</t>
  </si>
  <si>
    <t>Telmisartan 40 mg</t>
  </si>
  <si>
    <t>HTZ 25 mg</t>
  </si>
  <si>
    <t>Approximate cost of drugs 
(Price per pill in USD, Conversation 1 USD = Rs.70)</t>
  </si>
  <si>
    <r>
      <rPr>
        <b/>
        <i/>
        <sz val="11"/>
        <color theme="1"/>
        <rFont val="Calibri"/>
        <family val="2"/>
        <scheme val="minor"/>
      </rPr>
      <t>Note:</t>
    </r>
    <r>
      <rPr>
        <b/>
        <sz val="11"/>
        <color theme="1"/>
        <rFont val="Calibri"/>
        <family val="2"/>
        <scheme val="minor"/>
      </rPr>
      <t xml:space="preserve"> If X %  is expected loss to follow-up over one year, per month loss to follow-up would be Approximately (X/10)% based on cummulative reduction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</si>
</sst>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0%"/>
    <numFmt numFmtId="167" formatCode="#,##0_ ;\-#,##0\ "/>
    <numFmt numFmtId="168" formatCode="###\,###\,##0;[&gt;=100000]&quot;$&quot;\ ###\,##0;&quot;$&quot;\ ##,##0"/>
    <numFmt numFmtId="169" formatCode="###\,##0;[&gt;=10000]&quot;$&quot;\ ###\,##0;&quot;$&quot;\ ##,##0"/>
    <numFmt numFmtId="175" formatCode="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sz val="8"/>
      <name val="Calibri"/>
      <family val="2"/>
      <scheme val="minor"/>
    </font>
    <font>
      <b/>
      <u/>
      <sz val="16"/>
      <color rgb="FF002060"/>
      <name val="Calibri"/>
      <family val="2"/>
      <scheme val="minor"/>
    </font>
    <font>
      <b/>
      <sz val="11"/>
      <color theme="0"/>
      <name val="Calibri"/>
      <family val="2"/>
      <scheme val="minor"/>
    </font>
    <font>
      <b/>
      <i/>
      <sz val="11"/>
      <color theme="1"/>
      <name val="Calibri"/>
      <family val="2"/>
      <scheme val="minor"/>
    </font>
    <font>
      <b/>
      <sz val="18"/>
      <color theme="0"/>
      <name val="Calibri"/>
      <family val="2"/>
      <scheme val="minor"/>
    </font>
    <font>
      <b/>
      <sz val="16"/>
      <color theme="0"/>
      <name val="Calibri"/>
      <family val="2"/>
      <scheme val="minor"/>
    </font>
    <font>
      <sz val="14"/>
      <color theme="1"/>
      <name val="Calibri"/>
      <family val="2"/>
      <scheme val="minor"/>
    </font>
    <font>
      <b/>
      <sz val="1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8" tint="-0.49998474074526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0" borderId="1" xfId="0" applyBorder="1"/>
    <xf numFmtId="0" fontId="0" fillId="2" borderId="1" xfId="0" applyFill="1" applyBorder="1" applyAlignment="1">
      <alignment horizontal="center" vertical="center" wrapText="1"/>
    </xf>
    <xf numFmtId="9" fontId="0" fillId="0" borderId="1" xfId="0" applyNumberFormat="1" applyBorder="1" applyAlignment="1">
      <alignment horizontal="center"/>
    </xf>
    <xf numFmtId="164" fontId="0" fillId="0" borderId="0" xfId="0" applyNumberFormat="1"/>
    <xf numFmtId="0" fontId="2" fillId="5" borderId="1" xfId="0" applyFont="1" applyFill="1" applyBorder="1" applyAlignment="1">
      <alignment horizontal="center"/>
    </xf>
    <xf numFmtId="0" fontId="0" fillId="0" borderId="0" xfId="0" applyAlignment="1">
      <alignment vertical="center"/>
    </xf>
    <xf numFmtId="165" fontId="0" fillId="0" borderId="0" xfId="0" applyNumberFormat="1"/>
    <xf numFmtId="9"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0" fillId="0" borderId="1" xfId="0" applyNumberFormat="1" applyFill="1" applyBorder="1" applyAlignment="1">
      <alignment horizontal="center"/>
    </xf>
    <xf numFmtId="167" fontId="0" fillId="8" borderId="1" xfId="1" applyNumberFormat="1" applyFont="1" applyFill="1" applyBorder="1" applyAlignment="1">
      <alignment horizontal="center"/>
    </xf>
    <xf numFmtId="167" fontId="0" fillId="0" borderId="1" xfId="1" applyNumberFormat="1" applyFont="1" applyBorder="1" applyAlignment="1">
      <alignment horizontal="center"/>
    </xf>
    <xf numFmtId="167" fontId="0" fillId="0" borderId="1" xfId="1" applyNumberFormat="1" applyFont="1" applyBorder="1"/>
    <xf numFmtId="167" fontId="0" fillId="0" borderId="3" xfId="1" applyNumberFormat="1" applyFont="1" applyBorder="1"/>
    <xf numFmtId="0" fontId="2" fillId="2" borderId="1" xfId="0" applyFont="1" applyFill="1" applyBorder="1" applyAlignment="1">
      <alignment horizontal="center" vertical="center" wrapText="1"/>
    </xf>
    <xf numFmtId="169" fontId="0" fillId="0" borderId="1" xfId="1" applyNumberFormat="1" applyFont="1" applyBorder="1"/>
    <xf numFmtId="0" fontId="0" fillId="5" borderId="1" xfId="0" applyFill="1" applyBorder="1" applyAlignment="1">
      <alignment horizontal="center"/>
    </xf>
    <xf numFmtId="0" fontId="0" fillId="0" borderId="1" xfId="0" applyFont="1" applyBorder="1" applyAlignment="1">
      <alignment horizontal="center" vertical="center"/>
    </xf>
    <xf numFmtId="169" fontId="0" fillId="0" borderId="1" xfId="0" applyNumberFormat="1" applyFont="1" applyBorder="1" applyAlignment="1">
      <alignment vertical="center"/>
    </xf>
    <xf numFmtId="0" fontId="0"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xf>
    <xf numFmtId="167" fontId="0" fillId="9" borderId="1" xfId="1" applyNumberFormat="1" applyFont="1" applyFill="1" applyBorder="1"/>
    <xf numFmtId="167" fontId="0" fillId="9" borderId="3" xfId="1" applyNumberFormat="1" applyFont="1" applyFill="1" applyBorder="1"/>
    <xf numFmtId="169" fontId="2" fillId="0" borderId="1" xfId="1" applyNumberFormat="1" applyFont="1" applyFill="1" applyBorder="1" applyAlignment="1">
      <alignment horizontal="center" vertical="center"/>
    </xf>
    <xf numFmtId="0" fontId="3" fillId="2" borderId="2" xfId="0" applyFont="1" applyFill="1" applyBorder="1" applyAlignment="1">
      <alignmen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0" xfId="0" applyFill="1"/>
    <xf numFmtId="0" fontId="0" fillId="13" borderId="0" xfId="0" applyFill="1"/>
    <xf numFmtId="0" fontId="0" fillId="13" borderId="0" xfId="0" applyFill="1" applyAlignment="1">
      <alignment vertical="center"/>
    </xf>
    <xf numFmtId="0" fontId="2" fillId="13" borderId="10" xfId="0" applyFont="1" applyFill="1" applyBorder="1" applyAlignment="1">
      <alignment horizontal="left" vertical="center" wrapText="1"/>
    </xf>
    <xf numFmtId="0" fontId="2" fillId="13" borderId="6" xfId="0" applyFont="1" applyFill="1" applyBorder="1" applyAlignment="1">
      <alignment horizontal="left" vertical="center" wrapText="1"/>
    </xf>
    <xf numFmtId="0" fontId="2" fillId="13" borderId="11" xfId="0" applyFont="1" applyFill="1" applyBorder="1" applyAlignment="1">
      <alignment horizontal="center" vertical="center" wrapText="1"/>
    </xf>
    <xf numFmtId="168" fontId="0" fillId="14" borderId="1" xfId="1" applyNumberFormat="1" applyFont="1" applyFill="1" applyBorder="1" applyAlignment="1">
      <alignment vertical="center"/>
    </xf>
    <xf numFmtId="9" fontId="0" fillId="14" borderId="1" xfId="0" applyNumberFormat="1" applyFont="1" applyFill="1" applyBorder="1" applyAlignment="1">
      <alignment vertical="center"/>
    </xf>
    <xf numFmtId="9" fontId="0" fillId="14" borderId="1" xfId="2" applyFont="1" applyFill="1" applyBorder="1" applyAlignment="1">
      <alignment vertical="center"/>
    </xf>
    <xf numFmtId="165" fontId="0" fillId="14" borderId="1" xfId="1" applyNumberFormat="1" applyFont="1" applyFill="1" applyBorder="1" applyAlignment="1">
      <alignment vertical="center"/>
    </xf>
    <xf numFmtId="9" fontId="0" fillId="14" borderId="1" xfId="1" applyNumberFormat="1" applyFont="1" applyFill="1" applyBorder="1" applyAlignment="1">
      <alignment vertical="center"/>
    </xf>
    <xf numFmtId="0" fontId="0" fillId="14" borderId="1" xfId="0" applyFont="1" applyFill="1" applyBorder="1"/>
    <xf numFmtId="9" fontId="0" fillId="14" borderId="1" xfId="0" applyNumberFormat="1" applyFont="1" applyFill="1" applyBorder="1" applyAlignment="1">
      <alignment horizontal="center"/>
    </xf>
    <xf numFmtId="0" fontId="2" fillId="14" borderId="1" xfId="0" applyFont="1" applyFill="1" applyBorder="1" applyAlignment="1">
      <alignment horizontal="center"/>
    </xf>
    <xf numFmtId="0" fontId="0" fillId="14" borderId="1" xfId="0" applyFill="1" applyBorder="1"/>
    <xf numFmtId="9" fontId="0" fillId="0" borderId="1" xfId="0" applyNumberFormat="1" applyFont="1" applyBorder="1" applyAlignment="1">
      <alignment vertical="center"/>
    </xf>
    <xf numFmtId="17" fontId="0" fillId="2" borderId="1" xfId="0" applyNumberFormat="1" applyFill="1" applyBorder="1" applyAlignment="1">
      <alignment horizontal="center" vertical="center"/>
    </xf>
    <xf numFmtId="167" fontId="0" fillId="8" borderId="1" xfId="1" applyNumberFormat="1" applyFont="1" applyFill="1" applyBorder="1" applyAlignment="1">
      <alignment horizontal="center" vertical="center"/>
    </xf>
    <xf numFmtId="167" fontId="0" fillId="0" borderId="1" xfId="1" applyNumberFormat="1" applyFont="1" applyBorder="1" applyAlignment="1">
      <alignment horizontal="center" vertical="center"/>
    </xf>
    <xf numFmtId="167" fontId="0" fillId="0" borderId="1" xfId="1" applyNumberFormat="1" applyFont="1" applyBorder="1" applyAlignment="1">
      <alignment vertical="center"/>
    </xf>
    <xf numFmtId="167" fontId="0" fillId="9" borderId="1" xfId="1" applyNumberFormat="1" applyFont="1" applyFill="1" applyBorder="1" applyAlignment="1">
      <alignment vertical="center"/>
    </xf>
    <xf numFmtId="167" fontId="0" fillId="9" borderId="3" xfId="1" applyNumberFormat="1" applyFont="1" applyFill="1" applyBorder="1" applyAlignment="1">
      <alignment vertical="center"/>
    </xf>
    <xf numFmtId="0" fontId="8" fillId="0" borderId="1" xfId="0" applyFont="1" applyBorder="1" applyAlignment="1">
      <alignment horizontal="center"/>
    </xf>
    <xf numFmtId="0" fontId="2" fillId="0" borderId="1" xfId="0" applyFont="1" applyBorder="1" applyAlignment="1">
      <alignment horizont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2" fillId="0" borderId="1" xfId="0" applyFont="1" applyBorder="1" applyAlignment="1">
      <alignment horizontal="left" wrapText="1"/>
    </xf>
    <xf numFmtId="0" fontId="0" fillId="0" borderId="1" xfId="0" applyBorder="1" applyAlignment="1">
      <alignment horizontal="center"/>
    </xf>
    <xf numFmtId="0" fontId="11" fillId="13" borderId="1" xfId="0" applyFont="1" applyFill="1" applyBorder="1" applyAlignment="1">
      <alignment horizontal="center"/>
    </xf>
    <xf numFmtId="0" fontId="0" fillId="5" borderId="1" xfId="0" applyFont="1" applyFill="1" applyBorder="1" applyAlignment="1">
      <alignment horizontal="left" vertical="top" wrapText="1"/>
    </xf>
    <xf numFmtId="0" fontId="2" fillId="3" borderId="1" xfId="0" applyFont="1" applyFill="1" applyBorder="1" applyAlignment="1">
      <alignment horizontal="center" vertical="center"/>
    </xf>
    <xf numFmtId="0" fontId="0" fillId="13" borderId="7" xfId="0" applyFont="1" applyFill="1" applyBorder="1" applyAlignment="1">
      <alignment horizontal="center"/>
    </xf>
    <xf numFmtId="0" fontId="0" fillId="13" borderId="8" xfId="0" applyFont="1" applyFill="1" applyBorder="1" applyAlignment="1">
      <alignment horizont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0" fillId="0" borderId="3" xfId="0" applyFont="1" applyFill="1" applyBorder="1" applyAlignment="1">
      <alignment horizontal="center"/>
    </xf>
    <xf numFmtId="0" fontId="0" fillId="0" borderId="5" xfId="0" applyFont="1" applyFill="1" applyBorder="1" applyAlignment="1">
      <alignment horizont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5" borderId="0" xfId="0" applyFill="1" applyAlignment="1">
      <alignment horizontal="center"/>
    </xf>
    <xf numFmtId="0" fontId="0" fillId="5" borderId="9" xfId="0" applyFill="1" applyBorder="1" applyAlignment="1">
      <alignment horizontal="center"/>
    </xf>
    <xf numFmtId="0" fontId="0" fillId="5" borderId="6" xfId="0" applyFill="1" applyBorder="1" applyAlignment="1">
      <alignment horizontal="left"/>
    </xf>
    <xf numFmtId="0" fontId="2" fillId="2" borderId="1" xfId="0" applyFont="1" applyFill="1" applyBorder="1" applyAlignment="1">
      <alignment horizontal="center" vertical="center" wrapText="1"/>
    </xf>
    <xf numFmtId="0" fontId="0" fillId="14" borderId="3" xfId="0" applyFill="1" applyBorder="1" applyAlignment="1">
      <alignment horizontal="left"/>
    </xf>
    <xf numFmtId="0" fontId="0" fillId="14" borderId="5" xfId="0" applyFill="1" applyBorder="1" applyAlignment="1">
      <alignment horizontal="left"/>
    </xf>
    <xf numFmtId="165" fontId="0" fillId="14" borderId="3" xfId="0" applyNumberFormat="1" applyFont="1" applyFill="1" applyBorder="1" applyAlignment="1">
      <alignment horizontal="left" vertical="center"/>
    </xf>
    <xf numFmtId="165" fontId="0" fillId="14" borderId="5" xfId="0" applyNumberFormat="1" applyFont="1" applyFill="1" applyBorder="1" applyAlignment="1">
      <alignment horizontal="left" vertical="center"/>
    </xf>
    <xf numFmtId="0" fontId="0" fillId="0" borderId="3" xfId="0" applyBorder="1" applyAlignment="1">
      <alignment horizontal="left"/>
    </xf>
    <xf numFmtId="0" fontId="0" fillId="0" borderId="5" xfId="0" applyBorder="1" applyAlignment="1">
      <alignment horizontal="left"/>
    </xf>
    <xf numFmtId="0" fontId="2" fillId="2" borderId="1" xfId="0" applyFont="1" applyFill="1" applyBorder="1" applyAlignment="1">
      <alignment horizontal="center" vertical="center"/>
    </xf>
    <xf numFmtId="169" fontId="2" fillId="0" borderId="1" xfId="1"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2" fillId="12"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12" borderId="10"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11"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11"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0" fontId="2" fillId="13" borderId="5" xfId="0" applyFont="1" applyFill="1" applyBorder="1" applyAlignment="1">
      <alignment horizontal="center" vertical="center"/>
    </xf>
    <xf numFmtId="0" fontId="0" fillId="8" borderId="6" xfId="0" applyFill="1" applyBorder="1" applyAlignment="1">
      <alignment horizontal="left" vertical="center" wrapText="1"/>
    </xf>
    <xf numFmtId="0" fontId="0" fillId="8" borderId="0" xfId="0"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0" xfId="0" applyFont="1" applyFill="1" applyBorder="1" applyAlignment="1">
      <alignment horizontal="left" vertical="center" wrapText="1"/>
    </xf>
    <xf numFmtId="0" fontId="0" fillId="0" borderId="4" xfId="0" applyBorder="1" applyAlignment="1">
      <alignment horizontal="center" vertical="center"/>
    </xf>
    <xf numFmtId="0" fontId="0" fillId="13" borderId="0" xfId="0" applyFill="1" applyAlignment="1">
      <alignment horizontal="center"/>
    </xf>
    <xf numFmtId="0" fontId="11" fillId="13" borderId="0" xfId="0" applyFont="1" applyFill="1" applyBorder="1" applyAlignment="1">
      <alignment horizontal="center"/>
    </xf>
    <xf numFmtId="166" fontId="2" fillId="0" borderId="3" xfId="0" applyNumberFormat="1" applyFont="1" applyFill="1" applyBorder="1" applyAlignment="1">
      <alignment horizontal="center" vertical="center"/>
    </xf>
    <xf numFmtId="166" fontId="2" fillId="0" borderId="5"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165" fontId="0" fillId="0" borderId="3" xfId="0" applyNumberFormat="1" applyFont="1" applyFill="1" applyBorder="1" applyAlignment="1">
      <alignment horizontal="left" vertical="center"/>
    </xf>
    <xf numFmtId="165" fontId="0" fillId="0" borderId="5" xfId="0" applyNumberFormat="1" applyFont="1" applyFill="1" applyBorder="1" applyAlignment="1">
      <alignment horizontal="left" vertical="center"/>
    </xf>
    <xf numFmtId="165" fontId="0" fillId="6" borderId="3" xfId="0" applyNumberFormat="1" applyFont="1" applyFill="1" applyBorder="1" applyAlignment="1">
      <alignment horizontal="left" vertical="center"/>
    </xf>
    <xf numFmtId="165" fontId="0" fillId="6" borderId="5" xfId="0" applyNumberFormat="1" applyFont="1" applyFill="1" applyBorder="1" applyAlignment="1">
      <alignment horizontal="left" vertical="center"/>
    </xf>
    <xf numFmtId="175" fontId="2" fillId="14" borderId="1" xfId="0" applyNumberFormat="1" applyFont="1" applyFill="1" applyBorder="1" applyAlignment="1">
      <alignment horizontal="center"/>
    </xf>
    <xf numFmtId="175" fontId="2" fillId="0" borderId="1" xfId="0" applyNumberFormat="1" applyFont="1" applyFill="1" applyBorder="1" applyAlignment="1">
      <alignment horizontal="center"/>
    </xf>
    <xf numFmtId="168" fontId="13" fillId="0" borderId="1" xfId="0" applyNumberFormat="1" applyFont="1" applyBorder="1" applyAlignment="1">
      <alignment horizontal="center"/>
    </xf>
    <xf numFmtId="169" fontId="13" fillId="0" borderId="1" xfId="0" applyNumberFormat="1" applyFont="1" applyBorder="1" applyAlignment="1">
      <alignment horizontal="center"/>
    </xf>
    <xf numFmtId="165" fontId="3" fillId="0" borderId="1" xfId="1" applyNumberFormat="1" applyFont="1" applyBorder="1" applyAlignment="1">
      <alignment horizontal="center" vertical="center"/>
    </xf>
    <xf numFmtId="168" fontId="4" fillId="0" borderId="1" xfId="0" applyNumberFormat="1" applyFont="1" applyBorder="1" applyAlignment="1">
      <alignment horizontal="center" vertical="center"/>
    </xf>
    <xf numFmtId="169" fontId="4" fillId="0" borderId="1" xfId="0" applyNumberFormat="1" applyFont="1" applyBorder="1" applyAlignment="1">
      <alignment horizontal="center" vertical="center"/>
    </xf>
    <xf numFmtId="0" fontId="14" fillId="2" borderId="2" xfId="0" applyFont="1" applyFill="1" applyBorder="1" applyAlignment="1">
      <alignment horizontal="left" vertical="center" wrapText="1" indent="1"/>
    </xf>
    <xf numFmtId="0" fontId="0" fillId="6" borderId="1" xfId="0" applyFont="1" applyFill="1" applyBorder="1" applyAlignment="1">
      <alignment horizontal="center" vertical="center" wrapText="1"/>
    </xf>
    <xf numFmtId="165" fontId="5" fillId="7" borderId="1" xfId="0" applyNumberFormat="1" applyFont="1" applyFill="1" applyBorder="1" applyAlignment="1">
      <alignment horizontal="center" vertical="center"/>
    </xf>
    <xf numFmtId="165" fontId="13" fillId="0" borderId="1" xfId="1" applyNumberFormat="1" applyFont="1" applyBorder="1" applyAlignme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849A-448D-4FE4-842D-3D5CFD1A34D2}">
  <dimension ref="A3:J9"/>
  <sheetViews>
    <sheetView workbookViewId="0">
      <selection activeCell="N7" sqref="N7"/>
    </sheetView>
  </sheetViews>
  <sheetFormatPr defaultRowHeight="15" x14ac:dyDescent="0.25"/>
  <cols>
    <col min="1" max="1" width="25" customWidth="1"/>
  </cols>
  <sheetData>
    <row r="3" spans="1:10" ht="21" x14ac:dyDescent="0.35">
      <c r="A3" s="55" t="s">
        <v>24</v>
      </c>
      <c r="B3" s="55"/>
      <c r="C3" s="55"/>
      <c r="D3" s="55"/>
      <c r="E3" s="55"/>
      <c r="F3" s="55"/>
      <c r="G3" s="55"/>
      <c r="H3" s="55"/>
      <c r="I3" s="55"/>
      <c r="J3" s="55"/>
    </row>
    <row r="4" spans="1:10" x14ac:dyDescent="0.25">
      <c r="A4" s="56" t="s">
        <v>58</v>
      </c>
      <c r="B4" s="56"/>
      <c r="C4" s="56"/>
      <c r="D4" s="56"/>
      <c r="E4" s="56"/>
      <c r="F4" s="56"/>
      <c r="G4" s="56"/>
      <c r="H4" s="56"/>
      <c r="I4" s="56"/>
      <c r="J4" s="56"/>
    </row>
    <row r="5" spans="1:10" ht="49.5" customHeight="1" x14ac:dyDescent="0.25">
      <c r="A5" s="57" t="s">
        <v>60</v>
      </c>
      <c r="B5" s="57"/>
      <c r="C5" s="57"/>
      <c r="D5" s="57"/>
      <c r="E5" s="57"/>
      <c r="F5" s="57"/>
      <c r="G5" s="57"/>
      <c r="H5" s="57"/>
      <c r="I5" s="57"/>
      <c r="J5" s="57"/>
    </row>
    <row r="6" spans="1:10" x14ac:dyDescent="0.25">
      <c r="A6" s="59" t="s">
        <v>25</v>
      </c>
      <c r="B6" s="59"/>
      <c r="C6" s="59"/>
      <c r="D6" s="59"/>
      <c r="E6" s="59"/>
      <c r="F6" s="59"/>
      <c r="G6" s="59"/>
      <c r="H6" s="59"/>
      <c r="I6" s="59"/>
      <c r="J6" s="59"/>
    </row>
    <row r="7" spans="1:10" ht="147" customHeight="1" x14ac:dyDescent="0.25">
      <c r="A7" s="58" t="s">
        <v>85</v>
      </c>
      <c r="B7" s="58"/>
      <c r="C7" s="58"/>
      <c r="D7" s="58"/>
      <c r="E7" s="58"/>
      <c r="F7" s="58"/>
      <c r="G7" s="58"/>
      <c r="H7" s="58"/>
      <c r="I7" s="58"/>
      <c r="J7" s="58"/>
    </row>
    <row r="8" spans="1:10" ht="9.75" customHeight="1" x14ac:dyDescent="0.25">
      <c r="A8" s="60"/>
      <c r="B8" s="60"/>
      <c r="C8" s="60"/>
      <c r="D8" s="60"/>
      <c r="E8" s="60"/>
      <c r="F8" s="60"/>
      <c r="G8" s="60"/>
      <c r="H8" s="60"/>
      <c r="I8" s="60"/>
      <c r="J8" s="60"/>
    </row>
    <row r="9" spans="1:10" ht="131.25" customHeight="1" x14ac:dyDescent="0.25">
      <c r="A9" s="57" t="s">
        <v>57</v>
      </c>
      <c r="B9" s="57"/>
      <c r="C9" s="57"/>
      <c r="D9" s="57"/>
      <c r="E9" s="57"/>
      <c r="F9" s="57"/>
      <c r="G9" s="57"/>
      <c r="H9" s="57"/>
      <c r="I9" s="57"/>
      <c r="J9" s="57"/>
    </row>
  </sheetData>
  <mergeCells count="7">
    <mergeCell ref="A3:J3"/>
    <mergeCell ref="A4:J4"/>
    <mergeCell ref="A5:J5"/>
    <mergeCell ref="A7:J7"/>
    <mergeCell ref="A9:J9"/>
    <mergeCell ref="A6:J6"/>
    <mergeCell ref="A8:J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zoomScale="80" zoomScaleNormal="80" workbookViewId="0">
      <selection activeCell="I23" sqref="A1:I23"/>
    </sheetView>
  </sheetViews>
  <sheetFormatPr defaultRowHeight="15" x14ac:dyDescent="0.25"/>
  <cols>
    <col min="1" max="1" width="1.42578125" customWidth="1"/>
    <col min="2" max="2" width="42.140625" customWidth="1"/>
    <col min="3" max="3" width="13.28515625" customWidth="1"/>
    <col min="4" max="4" width="21.28515625" customWidth="1"/>
    <col min="5" max="5" width="1.28515625" customWidth="1"/>
    <col min="6" max="6" width="8.7109375" customWidth="1"/>
    <col min="7" max="7" width="28.140625" customWidth="1"/>
    <col min="8" max="8" width="15.5703125" customWidth="1"/>
    <col min="9" max="9" width="2.140625" customWidth="1"/>
  </cols>
  <sheetData>
    <row r="1" spans="1:9" ht="18.95" customHeight="1" x14ac:dyDescent="0.35">
      <c r="A1" s="34"/>
      <c r="B1" s="61" t="s">
        <v>4</v>
      </c>
      <c r="C1" s="61"/>
      <c r="D1" s="61"/>
      <c r="E1" s="61"/>
      <c r="F1" s="61"/>
      <c r="G1" s="61"/>
      <c r="H1" s="61"/>
      <c r="I1" s="34"/>
    </row>
    <row r="2" spans="1:9" x14ac:dyDescent="0.25">
      <c r="A2" s="34"/>
      <c r="B2" s="5" t="s">
        <v>56</v>
      </c>
      <c r="C2" s="56"/>
      <c r="D2" s="56"/>
      <c r="E2" s="56"/>
      <c r="F2" s="56"/>
      <c r="G2" s="56"/>
      <c r="H2" s="56"/>
      <c r="I2" s="34"/>
    </row>
    <row r="3" spans="1:9" x14ac:dyDescent="0.25">
      <c r="A3" s="34"/>
      <c r="B3" s="5" t="s">
        <v>26</v>
      </c>
      <c r="C3" s="56" t="s">
        <v>31</v>
      </c>
      <c r="D3" s="56"/>
      <c r="E3" s="56"/>
      <c r="F3" s="56"/>
      <c r="G3" s="56"/>
      <c r="H3" s="56"/>
      <c r="I3" s="34"/>
    </row>
    <row r="4" spans="1:9" x14ac:dyDescent="0.25">
      <c r="A4" s="34"/>
      <c r="B4" s="5" t="s">
        <v>27</v>
      </c>
      <c r="C4" s="56"/>
      <c r="D4" s="56"/>
      <c r="E4" s="56"/>
      <c r="F4" s="56"/>
      <c r="G4" s="56"/>
      <c r="H4" s="56"/>
      <c r="I4" s="34"/>
    </row>
    <row r="5" spans="1:9" s="6" customFormat="1" ht="21.95" customHeight="1" x14ac:dyDescent="0.25">
      <c r="A5" s="35"/>
      <c r="B5" s="21" t="s">
        <v>6</v>
      </c>
      <c r="C5" s="21" t="s">
        <v>7</v>
      </c>
      <c r="D5" s="21" t="s">
        <v>8</v>
      </c>
      <c r="E5" s="64"/>
      <c r="F5" s="63" t="s">
        <v>47</v>
      </c>
      <c r="G5" s="63"/>
      <c r="H5" s="63"/>
      <c r="I5" s="35"/>
    </row>
    <row r="6" spans="1:9" ht="28.5" customHeight="1" x14ac:dyDescent="0.25">
      <c r="A6" s="34"/>
      <c r="B6" s="22" t="s">
        <v>0</v>
      </c>
      <c r="C6" s="39">
        <v>3200000</v>
      </c>
      <c r="D6" s="18" t="s">
        <v>54</v>
      </c>
      <c r="E6" s="65"/>
      <c r="F6" s="23" t="s">
        <v>52</v>
      </c>
      <c r="G6" s="23" t="s">
        <v>70</v>
      </c>
      <c r="H6" s="25" t="s">
        <v>71</v>
      </c>
      <c r="I6" s="34"/>
    </row>
    <row r="7" spans="1:9" ht="17.25" customHeight="1" x14ac:dyDescent="0.25">
      <c r="A7" s="34"/>
      <c r="B7" s="22" t="s">
        <v>1</v>
      </c>
      <c r="C7" s="40">
        <v>0.37</v>
      </c>
      <c r="D7" s="18" t="s">
        <v>54</v>
      </c>
      <c r="E7" s="65"/>
      <c r="F7" s="24" t="s">
        <v>48</v>
      </c>
      <c r="G7" s="44" t="s">
        <v>63</v>
      </c>
      <c r="H7" s="45">
        <v>0.4</v>
      </c>
      <c r="I7" s="34"/>
    </row>
    <row r="8" spans="1:9" ht="17.25" customHeight="1" x14ac:dyDescent="0.25">
      <c r="A8" s="34"/>
      <c r="B8" s="22" t="s">
        <v>2</v>
      </c>
      <c r="C8" s="19">
        <f>C6*C7</f>
        <v>1184000</v>
      </c>
      <c r="D8" s="20"/>
      <c r="E8" s="65"/>
      <c r="F8" s="24" t="s">
        <v>49</v>
      </c>
      <c r="G8" s="44" t="s">
        <v>63</v>
      </c>
      <c r="H8" s="45">
        <v>0.15</v>
      </c>
      <c r="I8" s="34"/>
    </row>
    <row r="9" spans="1:9" ht="17.25" customHeight="1" x14ac:dyDescent="0.25">
      <c r="A9" s="34"/>
      <c r="B9" s="22" t="s">
        <v>5</v>
      </c>
      <c r="C9" s="41">
        <v>0.26</v>
      </c>
      <c r="D9" s="18" t="s">
        <v>55</v>
      </c>
      <c r="E9" s="65"/>
      <c r="F9" s="24" t="s">
        <v>50</v>
      </c>
      <c r="G9" s="44" t="s">
        <v>86</v>
      </c>
      <c r="H9" s="45">
        <v>0.2</v>
      </c>
      <c r="I9" s="34"/>
    </row>
    <row r="10" spans="1:9" ht="17.25" customHeight="1" x14ac:dyDescent="0.25">
      <c r="A10" s="34"/>
      <c r="B10" s="22" t="s">
        <v>3</v>
      </c>
      <c r="C10" s="19">
        <f>C8*C9</f>
        <v>307840</v>
      </c>
      <c r="D10" s="20"/>
      <c r="E10" s="65"/>
      <c r="F10" s="24" t="s">
        <v>51</v>
      </c>
      <c r="G10" s="44" t="s">
        <v>86</v>
      </c>
      <c r="H10" s="45">
        <v>0.12</v>
      </c>
      <c r="I10" s="34"/>
    </row>
    <row r="11" spans="1:9" ht="17.25" customHeight="1" x14ac:dyDescent="0.25">
      <c r="A11" s="34"/>
      <c r="B11" s="22" t="s">
        <v>40</v>
      </c>
      <c r="C11" s="40">
        <v>0.15</v>
      </c>
      <c r="D11" s="20"/>
      <c r="E11" s="65"/>
      <c r="F11" s="24" t="s">
        <v>64</v>
      </c>
      <c r="G11" s="44" t="s">
        <v>87</v>
      </c>
      <c r="H11" s="45">
        <v>0.08</v>
      </c>
      <c r="I11" s="34"/>
    </row>
    <row r="12" spans="1:9" ht="17.25" customHeight="1" x14ac:dyDescent="0.25">
      <c r="A12" s="34"/>
      <c r="B12" s="22" t="s">
        <v>39</v>
      </c>
      <c r="C12" s="42">
        <v>5000</v>
      </c>
      <c r="D12" s="20"/>
      <c r="E12" s="65"/>
      <c r="F12" s="24" t="s">
        <v>72</v>
      </c>
      <c r="G12" s="44" t="s">
        <v>87</v>
      </c>
      <c r="H12" s="45">
        <v>0.05</v>
      </c>
      <c r="I12" s="34"/>
    </row>
    <row r="13" spans="1:9" ht="17.25" customHeight="1" x14ac:dyDescent="0.25">
      <c r="A13" s="34"/>
      <c r="B13" s="22" t="s">
        <v>61</v>
      </c>
      <c r="C13" s="43">
        <v>0.2</v>
      </c>
      <c r="D13" s="20"/>
      <c r="E13" s="65"/>
      <c r="F13" s="71" t="s">
        <v>53</v>
      </c>
      <c r="G13" s="72"/>
      <c r="H13" s="48">
        <f>SUM(H7:H12)</f>
        <v>1</v>
      </c>
      <c r="I13" s="34"/>
    </row>
    <row r="14" spans="1:9" ht="17.25" customHeight="1" x14ac:dyDescent="0.25">
      <c r="A14" s="34"/>
      <c r="B14" s="69"/>
      <c r="C14" s="70"/>
      <c r="D14" s="20"/>
      <c r="E14" s="65"/>
      <c r="F14" s="66" t="s">
        <v>84</v>
      </c>
      <c r="G14" s="67"/>
      <c r="H14" s="68"/>
      <c r="I14" s="34"/>
    </row>
    <row r="15" spans="1:9" ht="52.5" customHeight="1" x14ac:dyDescent="0.25">
      <c r="A15" s="34"/>
      <c r="B15" s="62" t="s">
        <v>69</v>
      </c>
      <c r="C15" s="62"/>
      <c r="D15" s="62"/>
      <c r="E15" s="62"/>
      <c r="F15" s="62"/>
      <c r="G15" s="62"/>
      <c r="H15" s="62"/>
      <c r="I15" s="34"/>
    </row>
    <row r="16" spans="1:9" ht="9.6" customHeight="1" x14ac:dyDescent="0.25">
      <c r="A16" s="34"/>
      <c r="B16" s="34"/>
      <c r="C16" s="34"/>
      <c r="D16" s="34"/>
      <c r="E16" s="34"/>
      <c r="F16" s="34"/>
      <c r="G16" s="34"/>
      <c r="H16" s="34"/>
      <c r="I16" s="34"/>
    </row>
    <row r="17" spans="1:9" ht="15" customHeight="1" x14ac:dyDescent="0.25">
      <c r="A17" s="34"/>
      <c r="B17" s="76" t="s">
        <v>88</v>
      </c>
      <c r="C17" s="76"/>
      <c r="D17" s="76"/>
      <c r="E17" s="73"/>
      <c r="F17" s="73"/>
      <c r="G17" s="73"/>
      <c r="H17" s="73"/>
      <c r="I17" s="34"/>
    </row>
    <row r="18" spans="1:9" x14ac:dyDescent="0.25">
      <c r="A18" s="34"/>
      <c r="B18" s="76"/>
      <c r="C18" s="76"/>
      <c r="D18" s="76"/>
      <c r="E18" s="73"/>
      <c r="F18" s="73"/>
      <c r="G18" s="73"/>
      <c r="H18" s="73"/>
      <c r="I18" s="34"/>
    </row>
    <row r="19" spans="1:9" x14ac:dyDescent="0.25">
      <c r="A19" s="34"/>
      <c r="B19" s="77" t="s">
        <v>63</v>
      </c>
      <c r="C19" s="78"/>
      <c r="D19" s="46">
        <f>0.14/70</f>
        <v>2E-3</v>
      </c>
      <c r="E19" s="73"/>
      <c r="F19" s="73"/>
      <c r="G19" s="47" t="s">
        <v>66</v>
      </c>
      <c r="H19" s="74"/>
      <c r="I19" s="34"/>
    </row>
    <row r="20" spans="1:9" x14ac:dyDescent="0.25">
      <c r="A20" s="34"/>
      <c r="B20" s="79" t="s">
        <v>86</v>
      </c>
      <c r="C20" s="80"/>
      <c r="D20" s="126">
        <f>0.55/70</f>
        <v>7.8571428571428577E-3</v>
      </c>
      <c r="E20" s="73"/>
      <c r="F20" s="73"/>
      <c r="G20" s="1" t="s">
        <v>67</v>
      </c>
      <c r="H20" s="74"/>
      <c r="I20" s="34"/>
    </row>
    <row r="21" spans="1:9" x14ac:dyDescent="0.25">
      <c r="A21" s="34"/>
      <c r="B21" s="79" t="s">
        <v>87</v>
      </c>
      <c r="C21" s="80"/>
      <c r="D21" s="126">
        <f>0.7/70</f>
        <v>0.01</v>
      </c>
      <c r="E21" s="73"/>
      <c r="F21" s="73"/>
      <c r="G21" s="73"/>
      <c r="H21" s="73"/>
      <c r="I21" s="34"/>
    </row>
    <row r="22" spans="1:9" x14ac:dyDescent="0.25">
      <c r="A22" s="34"/>
      <c r="B22" s="75" t="s">
        <v>65</v>
      </c>
      <c r="C22" s="75"/>
      <c r="D22" s="75"/>
      <c r="E22" s="73"/>
      <c r="F22" s="73"/>
      <c r="G22" s="73"/>
      <c r="H22" s="73"/>
      <c r="I22" s="34"/>
    </row>
    <row r="23" spans="1:9" ht="9.6" customHeight="1" x14ac:dyDescent="0.25">
      <c r="A23" s="34"/>
      <c r="B23" s="34"/>
      <c r="C23" s="34"/>
      <c r="D23" s="34"/>
      <c r="E23" s="34"/>
      <c r="F23" s="34"/>
      <c r="G23" s="34"/>
      <c r="H23" s="34"/>
      <c r="I23" s="34"/>
    </row>
  </sheetData>
  <mergeCells count="19">
    <mergeCell ref="E17:F22"/>
    <mergeCell ref="G17:H18"/>
    <mergeCell ref="G21:H22"/>
    <mergeCell ref="H19:H20"/>
    <mergeCell ref="B22:D22"/>
    <mergeCell ref="B17:D18"/>
    <mergeCell ref="B19:C19"/>
    <mergeCell ref="B20:C20"/>
    <mergeCell ref="B21:C21"/>
    <mergeCell ref="B1:H1"/>
    <mergeCell ref="C2:H2"/>
    <mergeCell ref="C3:H3"/>
    <mergeCell ref="C4:H4"/>
    <mergeCell ref="B15:H15"/>
    <mergeCell ref="F5:H5"/>
    <mergeCell ref="E5:E14"/>
    <mergeCell ref="F14:H14"/>
    <mergeCell ref="B14:C14"/>
    <mergeCell ref="F13:G13"/>
  </mergeCells>
  <phoneticPr fontId="7"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80596-E025-46C6-8F96-53ECB0CD9743}">
  <dimension ref="A1:Q28"/>
  <sheetViews>
    <sheetView tabSelected="1" topLeftCell="A19" zoomScale="76" zoomScaleNormal="70" workbookViewId="0">
      <selection activeCell="M34" sqref="M34"/>
    </sheetView>
  </sheetViews>
  <sheetFormatPr defaultRowHeight="15" x14ac:dyDescent="0.25"/>
  <cols>
    <col min="1" max="1" width="2.42578125" customWidth="1"/>
    <col min="2" max="2" width="12.5703125" customWidth="1"/>
    <col min="3" max="3" width="15" customWidth="1"/>
    <col min="4" max="4" width="15.140625" customWidth="1"/>
    <col min="5" max="5" width="20.140625" customWidth="1"/>
    <col min="6" max="9" width="12.85546875" customWidth="1"/>
    <col min="10" max="11" width="14.85546875" customWidth="1"/>
    <col min="12" max="12" width="2.28515625" customWidth="1"/>
    <col min="13" max="13" width="15.28515625" customWidth="1"/>
    <col min="14" max="14" width="16.140625" customWidth="1"/>
    <col min="15" max="15" width="15.5703125" customWidth="1"/>
    <col min="16" max="16" width="2.28515625" customWidth="1"/>
  </cols>
  <sheetData>
    <row r="1" spans="1:17" ht="23.25" x14ac:dyDescent="0.35">
      <c r="A1" s="34"/>
      <c r="B1" s="114" t="s">
        <v>78</v>
      </c>
      <c r="C1" s="114"/>
      <c r="D1" s="114"/>
      <c r="E1" s="114"/>
      <c r="F1" s="114"/>
      <c r="G1" s="114"/>
      <c r="H1" s="114"/>
      <c r="I1" s="114"/>
      <c r="J1" s="114"/>
      <c r="K1" s="114"/>
      <c r="L1" s="114"/>
      <c r="M1" s="114"/>
      <c r="N1" s="114"/>
      <c r="O1" s="114"/>
      <c r="P1" s="34"/>
    </row>
    <row r="2" spans="1:17" ht="30" customHeight="1" x14ac:dyDescent="0.25">
      <c r="A2" s="34"/>
      <c r="B2" s="30" t="s">
        <v>9</v>
      </c>
      <c r="C2" s="30"/>
      <c r="D2" s="83" t="s">
        <v>2</v>
      </c>
      <c r="E2" s="83"/>
      <c r="F2" s="84">
        <f>Input!C8</f>
        <v>1184000</v>
      </c>
      <c r="G2" s="84"/>
      <c r="H2" s="76" t="s">
        <v>28</v>
      </c>
      <c r="I2" s="76"/>
      <c r="J2" s="85">
        <f>Input!C9</f>
        <v>0.26</v>
      </c>
      <c r="K2" s="85"/>
      <c r="L2" s="34"/>
      <c r="M2" s="86" t="s">
        <v>80</v>
      </c>
      <c r="N2" s="86"/>
      <c r="O2" s="29">
        <f>F2*J2</f>
        <v>307840</v>
      </c>
      <c r="P2" s="34"/>
    </row>
    <row r="3" spans="1:17" ht="36.75" customHeight="1" x14ac:dyDescent="0.25">
      <c r="A3" s="34"/>
      <c r="B3" s="102" t="s">
        <v>62</v>
      </c>
      <c r="C3" s="103"/>
      <c r="D3" s="115">
        <f>Input!C13/10</f>
        <v>0.02</v>
      </c>
      <c r="E3" s="116"/>
      <c r="F3" s="117" t="s">
        <v>89</v>
      </c>
      <c r="G3" s="118"/>
      <c r="H3" s="118"/>
      <c r="I3" s="118"/>
      <c r="J3" s="118"/>
      <c r="K3" s="119"/>
      <c r="L3" s="34"/>
      <c r="M3" s="86" t="s">
        <v>23</v>
      </c>
      <c r="N3" s="86"/>
      <c r="O3" s="8">
        <f>Input!C11</f>
        <v>0.15</v>
      </c>
      <c r="P3" s="34"/>
      <c r="Q3" s="4"/>
    </row>
    <row r="4" spans="1:17" ht="24.75" customHeight="1" x14ac:dyDescent="0.25">
      <c r="A4" s="34"/>
      <c r="B4" s="87" t="s">
        <v>79</v>
      </c>
      <c r="C4" s="87"/>
      <c r="D4" s="87"/>
      <c r="E4" s="87"/>
      <c r="F4" s="87"/>
      <c r="G4" s="87"/>
      <c r="H4" s="87"/>
      <c r="I4" s="87"/>
      <c r="J4" s="87"/>
      <c r="K4" s="87"/>
      <c r="L4" s="34"/>
      <c r="M4" s="86" t="s">
        <v>29</v>
      </c>
      <c r="N4" s="86"/>
      <c r="O4" s="9">
        <f>Input!C12</f>
        <v>5000</v>
      </c>
      <c r="P4" s="34"/>
    </row>
    <row r="5" spans="1:17" ht="18" customHeight="1" x14ac:dyDescent="0.25">
      <c r="A5" s="34"/>
      <c r="B5" s="88" t="s">
        <v>41</v>
      </c>
      <c r="C5" s="88"/>
      <c r="D5" s="88"/>
      <c r="E5" s="88"/>
      <c r="F5" s="88"/>
      <c r="G5" s="88"/>
      <c r="H5" s="88"/>
      <c r="I5" s="88"/>
      <c r="J5" s="88"/>
      <c r="K5" s="89"/>
      <c r="L5" s="34"/>
      <c r="M5" s="36"/>
      <c r="N5" s="37"/>
      <c r="O5" s="38"/>
      <c r="P5" s="34"/>
    </row>
    <row r="6" spans="1:17" ht="15.75" x14ac:dyDescent="0.25">
      <c r="A6" s="34"/>
      <c r="B6" s="31" t="s">
        <v>30</v>
      </c>
      <c r="C6" s="31" t="s">
        <v>31</v>
      </c>
      <c r="D6" s="31" t="s">
        <v>32</v>
      </c>
      <c r="E6" s="31" t="s">
        <v>33</v>
      </c>
      <c r="F6" s="31" t="s">
        <v>34</v>
      </c>
      <c r="G6" s="31" t="s">
        <v>35</v>
      </c>
      <c r="H6" s="31" t="s">
        <v>36</v>
      </c>
      <c r="I6" s="31" t="s">
        <v>44</v>
      </c>
      <c r="J6" s="32" t="s">
        <v>45</v>
      </c>
      <c r="K6" s="31" t="s">
        <v>46</v>
      </c>
      <c r="L6" s="34"/>
      <c r="M6" s="90" t="s">
        <v>81</v>
      </c>
      <c r="N6" s="91"/>
      <c r="O6" s="92"/>
      <c r="P6" s="34"/>
    </row>
    <row r="7" spans="1:17" ht="51" customHeight="1" x14ac:dyDescent="0.25">
      <c r="A7" s="34"/>
      <c r="B7" s="2" t="s">
        <v>10</v>
      </c>
      <c r="C7" s="2" t="s">
        <v>77</v>
      </c>
      <c r="D7" s="2" t="s">
        <v>82</v>
      </c>
      <c r="E7" s="2" t="s">
        <v>37</v>
      </c>
      <c r="F7" s="134" t="str">
        <f>Input!G7</f>
        <v>Amlodipine 5 mg</v>
      </c>
      <c r="G7" s="134" t="str">
        <f>Input!G8</f>
        <v>Amlodipine 5 mg</v>
      </c>
      <c r="H7" s="134" t="str">
        <f>Input!G9</f>
        <v>Telmisartan 40 mg</v>
      </c>
      <c r="I7" s="134" t="str">
        <f>Input!G10</f>
        <v>Telmisartan 40 mg</v>
      </c>
      <c r="J7" s="134" t="str">
        <f>Input!G11</f>
        <v>HTZ 25 mg</v>
      </c>
      <c r="K7" s="134" t="str">
        <f>Input!G12</f>
        <v>HTZ 25 mg</v>
      </c>
      <c r="L7" s="34"/>
      <c r="M7" s="93"/>
      <c r="N7" s="94"/>
      <c r="O7" s="95"/>
      <c r="P7" s="34"/>
    </row>
    <row r="8" spans="1:17" ht="45" x14ac:dyDescent="0.25">
      <c r="A8" s="34"/>
      <c r="B8" s="49" t="s">
        <v>11</v>
      </c>
      <c r="C8" s="50">
        <f>$O$2*$O$3/12+O4</f>
        <v>8848</v>
      </c>
      <c r="D8" s="51">
        <f>C8</f>
        <v>8848</v>
      </c>
      <c r="E8" s="51">
        <f>D8</f>
        <v>8848</v>
      </c>
      <c r="F8" s="52">
        <f t="shared" ref="F8:F19" si="0">E8*$O$9*30</f>
        <v>265440</v>
      </c>
      <c r="G8" s="53"/>
      <c r="H8" s="53"/>
      <c r="I8" s="53"/>
      <c r="J8" s="54"/>
      <c r="K8" s="53"/>
      <c r="L8" s="34"/>
      <c r="M8" s="15" t="s">
        <v>73</v>
      </c>
      <c r="N8" s="15" t="s">
        <v>75</v>
      </c>
      <c r="O8" s="15" t="s">
        <v>74</v>
      </c>
      <c r="P8" s="34"/>
    </row>
    <row r="9" spans="1:17" ht="18.75" customHeight="1" x14ac:dyDescent="0.25">
      <c r="A9" s="34"/>
      <c r="B9" s="26" t="s">
        <v>12</v>
      </c>
      <c r="C9" s="11">
        <f t="shared" ref="C9:C19" si="1">$O$2*$O$3/12</f>
        <v>3848</v>
      </c>
      <c r="D9" s="12">
        <f>D8+C9</f>
        <v>12696</v>
      </c>
      <c r="E9" s="12">
        <f>C9+E8-E8*D3</f>
        <v>12519.04</v>
      </c>
      <c r="F9" s="13">
        <f t="shared" si="0"/>
        <v>375571.20000000001</v>
      </c>
      <c r="G9" s="13">
        <f t="shared" ref="G9:G19" si="2">E8*(1-$D$3)*$O$10*30</f>
        <v>156078.71999999997</v>
      </c>
      <c r="H9" s="27"/>
      <c r="I9" s="27"/>
      <c r="J9" s="28"/>
      <c r="K9" s="27"/>
      <c r="L9" s="34"/>
      <c r="M9" s="17" t="s">
        <v>48</v>
      </c>
      <c r="N9" s="10">
        <f>Input!H7</f>
        <v>0.4</v>
      </c>
      <c r="O9" s="3">
        <f>SUM(N9:N14)</f>
        <v>1</v>
      </c>
      <c r="P9" s="34"/>
    </row>
    <row r="10" spans="1:17" ht="18.75" customHeight="1" x14ac:dyDescent="0.25">
      <c r="A10" s="34"/>
      <c r="B10" s="26" t="s">
        <v>13</v>
      </c>
      <c r="C10" s="11">
        <f t="shared" si="1"/>
        <v>3848</v>
      </c>
      <c r="D10" s="12">
        <f t="shared" ref="D10:D19" si="3">D9+C10</f>
        <v>16544</v>
      </c>
      <c r="E10" s="12">
        <f>C10+E9-E9*D3</f>
        <v>16116.6592</v>
      </c>
      <c r="F10" s="13">
        <f t="shared" si="0"/>
        <v>483499.77600000001</v>
      </c>
      <c r="G10" s="13">
        <f t="shared" si="2"/>
        <v>220835.86560000002</v>
      </c>
      <c r="H10" s="13">
        <f t="shared" ref="H10:H19" si="4">E8*(1-2*$D$3)*$O$11*30</f>
        <v>114670.08</v>
      </c>
      <c r="I10" s="27"/>
      <c r="J10" s="28"/>
      <c r="K10" s="27"/>
      <c r="L10" s="34"/>
      <c r="M10" s="17" t="s">
        <v>49</v>
      </c>
      <c r="N10" s="10">
        <f>Input!H8</f>
        <v>0.15</v>
      </c>
      <c r="O10" s="3">
        <f>SUM(N10:N14)</f>
        <v>0.6</v>
      </c>
      <c r="P10" s="34"/>
    </row>
    <row r="11" spans="1:17" ht="18.75" customHeight="1" x14ac:dyDescent="0.25">
      <c r="A11" s="34"/>
      <c r="B11" s="26" t="s">
        <v>14</v>
      </c>
      <c r="C11" s="11">
        <f t="shared" si="1"/>
        <v>3848</v>
      </c>
      <c r="D11" s="12">
        <f t="shared" si="3"/>
        <v>20392</v>
      </c>
      <c r="E11" s="12">
        <f>C11+E10-E10*D3</f>
        <v>19642.326016000003</v>
      </c>
      <c r="F11" s="16">
        <f t="shared" si="0"/>
        <v>589269.78048000007</v>
      </c>
      <c r="G11" s="16">
        <f t="shared" si="2"/>
        <v>284297.868288</v>
      </c>
      <c r="H11" s="16">
        <f t="shared" si="4"/>
        <v>162246.75840000002</v>
      </c>
      <c r="I11" s="16">
        <f t="shared" ref="I11:I19" si="5">E8*(1-3*$D$3)*$O$12*30</f>
        <v>62378.399999999994</v>
      </c>
      <c r="J11" s="28"/>
      <c r="K11" s="27"/>
      <c r="L11" s="34"/>
      <c r="M11" s="17" t="s">
        <v>50</v>
      </c>
      <c r="N11" s="10">
        <f>Input!H9</f>
        <v>0.2</v>
      </c>
      <c r="O11" s="3">
        <f>SUM(N11:N14)</f>
        <v>0.45</v>
      </c>
      <c r="P11" s="34"/>
    </row>
    <row r="12" spans="1:17" ht="18.75" customHeight="1" x14ac:dyDescent="0.25">
      <c r="A12" s="34"/>
      <c r="B12" s="26" t="s">
        <v>15</v>
      </c>
      <c r="C12" s="11">
        <f t="shared" si="1"/>
        <v>3848</v>
      </c>
      <c r="D12" s="12">
        <f t="shared" si="3"/>
        <v>24240</v>
      </c>
      <c r="E12" s="12">
        <f>C12+E11-E11*D3</f>
        <v>23097.479495680003</v>
      </c>
      <c r="F12" s="16">
        <f t="shared" si="0"/>
        <v>692924.38487040007</v>
      </c>
      <c r="G12" s="16">
        <f t="shared" si="2"/>
        <v>346490.63092224009</v>
      </c>
      <c r="H12" s="16">
        <f t="shared" si="4"/>
        <v>208871.90323200001</v>
      </c>
      <c r="I12" s="16">
        <f t="shared" si="5"/>
        <v>88259.232000000004</v>
      </c>
      <c r="J12" s="14">
        <f t="shared" ref="J12:J19" si="6">E8*(1-4*$D$3)*$O$13*30</f>
        <v>31746.624000000003</v>
      </c>
      <c r="K12" s="27"/>
      <c r="L12" s="34"/>
      <c r="M12" s="17" t="s">
        <v>51</v>
      </c>
      <c r="N12" s="10">
        <f>Input!H10</f>
        <v>0.12</v>
      </c>
      <c r="O12" s="3">
        <f>SUM(N12:N14)</f>
        <v>0.25</v>
      </c>
      <c r="P12" s="34"/>
    </row>
    <row r="13" spans="1:17" ht="18.75" customHeight="1" x14ac:dyDescent="0.25">
      <c r="A13" s="34"/>
      <c r="B13" s="26" t="s">
        <v>16</v>
      </c>
      <c r="C13" s="11">
        <f t="shared" si="1"/>
        <v>3848</v>
      </c>
      <c r="D13" s="12">
        <f t="shared" si="3"/>
        <v>28088</v>
      </c>
      <c r="E13" s="12">
        <f>C13+E12-E12*D3</f>
        <v>26483.529905766401</v>
      </c>
      <c r="F13" s="16">
        <f t="shared" si="0"/>
        <v>794505.897172992</v>
      </c>
      <c r="G13" s="16">
        <f t="shared" si="2"/>
        <v>407439.53830379521</v>
      </c>
      <c r="H13" s="16">
        <f t="shared" si="4"/>
        <v>254564.54516735999</v>
      </c>
      <c r="I13" s="16">
        <f t="shared" si="5"/>
        <v>113622.44735999999</v>
      </c>
      <c r="J13" s="14">
        <f t="shared" si="6"/>
        <v>44918.315520000011</v>
      </c>
      <c r="K13" s="13">
        <f t="shared" ref="K13:K19" si="7">E8*(1-5*$D$3)*$O$14*30</f>
        <v>11944.800000000001</v>
      </c>
      <c r="L13" s="34"/>
      <c r="M13" s="17" t="s">
        <v>64</v>
      </c>
      <c r="N13" s="10">
        <f>Input!H11</f>
        <v>0.08</v>
      </c>
      <c r="O13" s="3">
        <f>SUM(N13:N14)</f>
        <v>0.13</v>
      </c>
      <c r="P13" s="34"/>
    </row>
    <row r="14" spans="1:17" ht="18.75" customHeight="1" x14ac:dyDescent="0.25">
      <c r="A14" s="34"/>
      <c r="B14" s="26" t="s">
        <v>17</v>
      </c>
      <c r="C14" s="11">
        <f t="shared" si="1"/>
        <v>3848</v>
      </c>
      <c r="D14" s="12">
        <f t="shared" si="3"/>
        <v>31936</v>
      </c>
      <c r="E14" s="12">
        <f>C14+E13-E13*D3</f>
        <v>29801.859307651073</v>
      </c>
      <c r="F14" s="16">
        <f t="shared" si="0"/>
        <v>894055.77922953223</v>
      </c>
      <c r="G14" s="16">
        <f t="shared" si="2"/>
        <v>467169.46753771929</v>
      </c>
      <c r="H14" s="16">
        <f t="shared" si="4"/>
        <v>299343.33426401281</v>
      </c>
      <c r="I14" s="16">
        <f t="shared" si="5"/>
        <v>138478.39841280002</v>
      </c>
      <c r="J14" s="14">
        <f t="shared" si="6"/>
        <v>57826.573209600007</v>
      </c>
      <c r="K14" s="13">
        <f t="shared" si="7"/>
        <v>16900.704000000002</v>
      </c>
      <c r="L14" s="34"/>
      <c r="M14" s="17" t="s">
        <v>72</v>
      </c>
      <c r="N14" s="10">
        <f>Input!H12</f>
        <v>0.05</v>
      </c>
      <c r="O14" s="3">
        <f>N14</f>
        <v>0.05</v>
      </c>
      <c r="P14" s="34"/>
    </row>
    <row r="15" spans="1:17" ht="18.75" customHeight="1" x14ac:dyDescent="0.25">
      <c r="A15" s="34"/>
      <c r="B15" s="26" t="s">
        <v>18</v>
      </c>
      <c r="C15" s="11">
        <f t="shared" si="1"/>
        <v>3848</v>
      </c>
      <c r="D15" s="12">
        <f t="shared" si="3"/>
        <v>35784</v>
      </c>
      <c r="E15" s="12">
        <f>C15+E14-E14*D3</f>
        <v>33053.822121498051</v>
      </c>
      <c r="F15" s="16">
        <f t="shared" si="0"/>
        <v>991614.66364494152</v>
      </c>
      <c r="G15" s="16">
        <f t="shared" si="2"/>
        <v>525704.79818696494</v>
      </c>
      <c r="H15" s="16">
        <f t="shared" si="4"/>
        <v>343226.5475787326</v>
      </c>
      <c r="I15" s="16">
        <f t="shared" si="5"/>
        <v>162837.23044454402</v>
      </c>
      <c r="J15" s="14">
        <f t="shared" si="6"/>
        <v>70476.665745407998</v>
      </c>
      <c r="K15" s="13">
        <f t="shared" si="7"/>
        <v>21757.48992</v>
      </c>
      <c r="L15" s="34"/>
      <c r="M15" s="34"/>
      <c r="N15" s="34"/>
      <c r="O15" s="34"/>
      <c r="P15" s="34"/>
    </row>
    <row r="16" spans="1:17" ht="18.75" customHeight="1" x14ac:dyDescent="0.25">
      <c r="A16" s="34"/>
      <c r="B16" s="26" t="s">
        <v>19</v>
      </c>
      <c r="C16" s="11">
        <f t="shared" si="1"/>
        <v>3848</v>
      </c>
      <c r="D16" s="12">
        <f t="shared" si="3"/>
        <v>39632</v>
      </c>
      <c r="E16" s="12">
        <f>C16+E15-E15*D3</f>
        <v>36240.745679068088</v>
      </c>
      <c r="F16" s="16">
        <f t="shared" si="0"/>
        <v>1087222.3703720425</v>
      </c>
      <c r="G16" s="16">
        <f t="shared" si="2"/>
        <v>583069.42222322547</v>
      </c>
      <c r="H16" s="16">
        <f t="shared" si="4"/>
        <v>386232.09662715794</v>
      </c>
      <c r="I16" s="16">
        <f t="shared" si="5"/>
        <v>186708.88583565311</v>
      </c>
      <c r="J16" s="14">
        <f t="shared" si="6"/>
        <v>82873.756430499852</v>
      </c>
      <c r="K16" s="13">
        <f t="shared" si="7"/>
        <v>26517.140121600005</v>
      </c>
      <c r="L16" s="34"/>
      <c r="M16" s="96" t="s">
        <v>42</v>
      </c>
      <c r="N16" s="97"/>
      <c r="O16" s="98"/>
      <c r="P16" s="34"/>
    </row>
    <row r="17" spans="1:16" ht="18.75" customHeight="1" x14ac:dyDescent="0.25">
      <c r="A17" s="34"/>
      <c r="B17" s="26" t="s">
        <v>20</v>
      </c>
      <c r="C17" s="11">
        <f t="shared" si="1"/>
        <v>3848</v>
      </c>
      <c r="D17" s="12">
        <f t="shared" si="3"/>
        <v>43480</v>
      </c>
      <c r="E17" s="12">
        <f>C17+E16-E16*D3</f>
        <v>39363.93076548673</v>
      </c>
      <c r="F17" s="16">
        <f t="shared" si="0"/>
        <v>1180917.9229646018</v>
      </c>
      <c r="G17" s="16">
        <f t="shared" si="2"/>
        <v>639286.7537787609</v>
      </c>
      <c r="H17" s="16">
        <f t="shared" si="4"/>
        <v>428377.53469461476</v>
      </c>
      <c r="I17" s="16">
        <f t="shared" si="5"/>
        <v>210103.10811894006</v>
      </c>
      <c r="J17" s="14">
        <f t="shared" si="6"/>
        <v>95022.905301889841</v>
      </c>
      <c r="K17" s="13">
        <f t="shared" si="7"/>
        <v>31181.597319168006</v>
      </c>
      <c r="L17" s="34"/>
      <c r="M17" s="99"/>
      <c r="N17" s="100"/>
      <c r="O17" s="101"/>
      <c r="P17" s="34"/>
    </row>
    <row r="18" spans="1:16" ht="18.75" customHeight="1" x14ac:dyDescent="0.25">
      <c r="A18" s="34"/>
      <c r="B18" s="26" t="s">
        <v>21</v>
      </c>
      <c r="C18" s="11">
        <f t="shared" si="1"/>
        <v>3848</v>
      </c>
      <c r="D18" s="12">
        <f t="shared" si="3"/>
        <v>47328</v>
      </c>
      <c r="E18" s="12">
        <f>C18+E17-E17*D$3</f>
        <v>42424.652150176997</v>
      </c>
      <c r="F18" s="16">
        <f t="shared" si="0"/>
        <v>1272739.5645053098</v>
      </c>
      <c r="G18" s="16">
        <f t="shared" si="2"/>
        <v>694379.73870318593</v>
      </c>
      <c r="H18" s="16">
        <f t="shared" si="4"/>
        <v>469680.06400072243</v>
      </c>
      <c r="I18" s="16">
        <f t="shared" si="5"/>
        <v>233029.44595656125</v>
      </c>
      <c r="J18" s="14">
        <f t="shared" si="6"/>
        <v>106929.07119585207</v>
      </c>
      <c r="K18" s="13">
        <f t="shared" si="7"/>
        <v>35752.765372784648</v>
      </c>
      <c r="L18" s="34"/>
      <c r="M18" s="81" t="str">
        <f>Input!B19</f>
        <v>Amlodipine 5 mg</v>
      </c>
      <c r="N18" s="82"/>
      <c r="O18" s="127">
        <f>Input!D19</f>
        <v>2E-3</v>
      </c>
      <c r="P18" s="34"/>
    </row>
    <row r="19" spans="1:16" ht="18.75" customHeight="1" x14ac:dyDescent="0.25">
      <c r="A19" s="34"/>
      <c r="B19" s="26" t="s">
        <v>22</v>
      </c>
      <c r="C19" s="11">
        <f t="shared" si="1"/>
        <v>3848</v>
      </c>
      <c r="D19" s="12">
        <f t="shared" si="3"/>
        <v>51176</v>
      </c>
      <c r="E19" s="12">
        <f>C19+E18-E18*D$3</f>
        <v>45424.159107173458</v>
      </c>
      <c r="F19" s="16">
        <f t="shared" si="0"/>
        <v>1362724.7732152038</v>
      </c>
      <c r="G19" s="16">
        <f t="shared" si="2"/>
        <v>748370.86392912222</v>
      </c>
      <c r="H19" s="16">
        <f t="shared" si="4"/>
        <v>510156.54272070795</v>
      </c>
      <c r="I19" s="16">
        <f t="shared" si="5"/>
        <v>255497.25703742998</v>
      </c>
      <c r="J19" s="14">
        <f t="shared" si="6"/>
        <v>118597.11377193502</v>
      </c>
      <c r="K19" s="13">
        <f t="shared" si="7"/>
        <v>40232.510065328956</v>
      </c>
      <c r="L19" s="34"/>
      <c r="M19" s="122" t="str">
        <f>Input!B20</f>
        <v>Telmisartan 40 mg</v>
      </c>
      <c r="N19" s="123"/>
      <c r="O19" s="127">
        <f>Input!D20</f>
        <v>7.8571428571428577E-3</v>
      </c>
      <c r="P19" s="34"/>
    </row>
    <row r="20" spans="1:16" s="6" customFormat="1" ht="23.25" customHeight="1" x14ac:dyDescent="0.25">
      <c r="A20" s="35"/>
      <c r="B20" s="133" t="s">
        <v>83</v>
      </c>
      <c r="C20" s="133"/>
      <c r="D20" s="133"/>
      <c r="E20" s="133"/>
      <c r="F20" s="133"/>
      <c r="G20" s="133"/>
      <c r="H20" s="133"/>
      <c r="I20" s="133"/>
      <c r="J20" s="133"/>
      <c r="K20" s="133"/>
      <c r="L20" s="35"/>
      <c r="M20" s="124" t="str">
        <f>Input!B21</f>
        <v>HTZ 25 mg</v>
      </c>
      <c r="N20" s="125"/>
      <c r="O20" s="127">
        <f>Input!D21</f>
        <v>0.01</v>
      </c>
      <c r="P20" s="35"/>
    </row>
    <row r="21" spans="1:16" ht="30" customHeight="1" x14ac:dyDescent="0.25">
      <c r="A21" s="34"/>
      <c r="B21" s="83" t="s">
        <v>38</v>
      </c>
      <c r="C21" s="83"/>
      <c r="D21" s="83"/>
      <c r="E21" s="83"/>
      <c r="F21" s="2" t="str">
        <f>F7</f>
        <v>Amlodipine 5 mg</v>
      </c>
      <c r="G21" s="2" t="str">
        <f t="shared" ref="G21:K21" si="8">G7</f>
        <v>Amlodipine 5 mg</v>
      </c>
      <c r="H21" s="2" t="str">
        <f t="shared" si="8"/>
        <v>Telmisartan 40 mg</v>
      </c>
      <c r="I21" s="2" t="str">
        <f t="shared" si="8"/>
        <v>Telmisartan 40 mg</v>
      </c>
      <c r="J21" s="2" t="str">
        <f t="shared" si="8"/>
        <v>HTZ 25 mg</v>
      </c>
      <c r="K21" s="2" t="str">
        <f t="shared" si="8"/>
        <v>HTZ 25 mg</v>
      </c>
      <c r="L21" s="34"/>
      <c r="M21" s="112"/>
      <c r="N21" s="112"/>
      <c r="O21" s="112"/>
      <c r="P21" s="34"/>
    </row>
    <row r="22" spans="1:16" s="6" customFormat="1" ht="23.25" customHeight="1" x14ac:dyDescent="0.25">
      <c r="A22" s="35"/>
      <c r="B22" s="104" t="s">
        <v>59</v>
      </c>
      <c r="C22" s="104"/>
      <c r="D22" s="104"/>
      <c r="E22" s="104"/>
      <c r="F22" s="131">
        <f t="shared" ref="F22:K22" si="9">SUM(F8:F19)</f>
        <v>9990486.1124550253</v>
      </c>
      <c r="G22" s="131">
        <f t="shared" si="9"/>
        <v>5073123.6674730144</v>
      </c>
      <c r="H22" s="132">
        <f t="shared" si="9"/>
        <v>3177369.4066853086</v>
      </c>
      <c r="I22" s="132">
        <f t="shared" si="9"/>
        <v>1450914.4051659284</v>
      </c>
      <c r="J22" s="132">
        <f t="shared" si="9"/>
        <v>608391.02517518483</v>
      </c>
      <c r="K22" s="132">
        <f t="shared" si="9"/>
        <v>184287.00679888163</v>
      </c>
      <c r="L22" s="35"/>
      <c r="M22" s="108" t="s">
        <v>77</v>
      </c>
      <c r="N22" s="110" t="s">
        <v>68</v>
      </c>
      <c r="O22" s="110"/>
      <c r="P22" s="35"/>
    </row>
    <row r="23" spans="1:16" s="6" customFormat="1" ht="9" customHeight="1" x14ac:dyDescent="0.25">
      <c r="A23" s="35"/>
      <c r="B23" s="105"/>
      <c r="C23" s="106"/>
      <c r="D23" s="106"/>
      <c r="E23" s="106"/>
      <c r="F23" s="106"/>
      <c r="G23" s="106"/>
      <c r="H23" s="106"/>
      <c r="I23" s="106"/>
      <c r="J23" s="106"/>
      <c r="K23" s="107"/>
      <c r="L23" s="35"/>
      <c r="M23" s="109"/>
      <c r="N23" s="111"/>
      <c r="O23" s="111"/>
      <c r="P23" s="35"/>
    </row>
    <row r="24" spans="1:16" ht="22.5" customHeight="1" x14ac:dyDescent="0.25">
      <c r="A24" s="34"/>
      <c r="B24" s="121" t="s">
        <v>76</v>
      </c>
      <c r="C24" s="121"/>
      <c r="D24" s="121"/>
      <c r="E24" s="121"/>
      <c r="F24" s="135" t="str">
        <f>Input!B19</f>
        <v>Amlodipine 5 mg</v>
      </c>
      <c r="G24" s="135"/>
      <c r="H24" s="135" t="str">
        <f>Input!B20</f>
        <v>Telmisartan 40 mg</v>
      </c>
      <c r="I24" s="135"/>
      <c r="J24" s="135" t="str">
        <f>Input!B21</f>
        <v>HTZ 25 mg</v>
      </c>
      <c r="K24" s="135"/>
      <c r="L24" s="34"/>
      <c r="M24" s="109"/>
      <c r="N24" s="111"/>
      <c r="O24" s="111"/>
      <c r="P24" s="34"/>
    </row>
    <row r="25" spans="1:16" ht="22.5" customHeight="1" x14ac:dyDescent="0.3">
      <c r="A25" s="34"/>
      <c r="B25" s="121"/>
      <c r="C25" s="121"/>
      <c r="D25" s="121"/>
      <c r="E25" s="121"/>
      <c r="F25" s="128">
        <f>F22+G22</f>
        <v>15063609.77992804</v>
      </c>
      <c r="G25" s="128"/>
      <c r="H25" s="136">
        <f>H22+I22</f>
        <v>4628283.811851237</v>
      </c>
      <c r="I25" s="136"/>
      <c r="J25" s="129">
        <f>J22+K22</f>
        <v>792678.03197406651</v>
      </c>
      <c r="K25" s="129"/>
      <c r="L25" s="34"/>
      <c r="M25" s="109"/>
      <c r="N25" s="111"/>
      <c r="O25" s="111"/>
      <c r="P25" s="34"/>
    </row>
    <row r="26" spans="1:16" ht="25.5" customHeight="1" x14ac:dyDescent="0.25">
      <c r="A26" s="34"/>
      <c r="B26" s="120" t="s">
        <v>43</v>
      </c>
      <c r="C26" s="120"/>
      <c r="D26" s="120"/>
      <c r="E26" s="120"/>
      <c r="F26" s="130">
        <f>F25*O18+H25*O19+J25*O20</f>
        <v>74419.086972713601</v>
      </c>
      <c r="G26" s="130"/>
      <c r="H26" s="130"/>
      <c r="I26" s="130"/>
      <c r="J26" s="130"/>
      <c r="K26" s="130"/>
      <c r="L26" s="34"/>
      <c r="M26" s="109"/>
      <c r="N26" s="111"/>
      <c r="O26" s="111"/>
      <c r="P26" s="34"/>
    </row>
    <row r="27" spans="1:16" ht="10.5" customHeight="1" x14ac:dyDescent="0.25">
      <c r="A27" s="34"/>
      <c r="B27" s="113"/>
      <c r="C27" s="113"/>
      <c r="D27" s="113"/>
      <c r="E27" s="113"/>
      <c r="F27" s="113"/>
      <c r="G27" s="113"/>
      <c r="H27" s="113"/>
      <c r="I27" s="113"/>
      <c r="J27" s="113"/>
      <c r="K27" s="113"/>
      <c r="L27" s="113"/>
      <c r="M27" s="113"/>
      <c r="N27" s="113"/>
      <c r="O27" s="113"/>
      <c r="P27" s="113"/>
    </row>
    <row r="28" spans="1:16" x14ac:dyDescent="0.25">
      <c r="G28" s="7"/>
      <c r="I28" s="7"/>
      <c r="K28" s="7"/>
      <c r="M28" s="33"/>
      <c r="N28" s="33"/>
      <c r="O28" s="33"/>
    </row>
  </sheetData>
  <mergeCells count="35">
    <mergeCell ref="B27:P27"/>
    <mergeCell ref="B1:O1"/>
    <mergeCell ref="D3:E3"/>
    <mergeCell ref="F3:K3"/>
    <mergeCell ref="B26:E26"/>
    <mergeCell ref="F26:K26"/>
    <mergeCell ref="B20:K20"/>
    <mergeCell ref="B24:E25"/>
    <mergeCell ref="F24:G24"/>
    <mergeCell ref="H24:I24"/>
    <mergeCell ref="J24:K24"/>
    <mergeCell ref="F25:G25"/>
    <mergeCell ref="H25:I25"/>
    <mergeCell ref="J25:K25"/>
    <mergeCell ref="M19:N19"/>
    <mergeCell ref="M20:N20"/>
    <mergeCell ref="B21:E21"/>
    <mergeCell ref="B22:E22"/>
    <mergeCell ref="B23:K23"/>
    <mergeCell ref="M22:M26"/>
    <mergeCell ref="N22:O26"/>
    <mergeCell ref="M21:O21"/>
    <mergeCell ref="M18:N18"/>
    <mergeCell ref="D2:E2"/>
    <mergeCell ref="F2:G2"/>
    <mergeCell ref="H2:I2"/>
    <mergeCell ref="J2:K2"/>
    <mergeCell ref="M2:N2"/>
    <mergeCell ref="M3:N3"/>
    <mergeCell ref="B4:K4"/>
    <mergeCell ref="M4:N4"/>
    <mergeCell ref="B5:K5"/>
    <mergeCell ref="M6:O7"/>
    <mergeCell ref="M16:O17"/>
    <mergeCell ref="B3:C3"/>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Input</vt:lpstr>
      <vt:lpstr>Drug requirement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Swagat Sahoo</dc:creator>
  <cp:lastModifiedBy>Swagat Sahoo</cp:lastModifiedBy>
  <dcterms:created xsi:type="dcterms:W3CDTF">2015-06-05T18:17:20Z</dcterms:created>
  <dcterms:modified xsi:type="dcterms:W3CDTF">2021-05-24T16:05:19Z</dcterms:modified>
</cp:coreProperties>
</file>